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7200" windowHeight="4320"/>
  </bookViews>
  <sheets>
    <sheet name="Budget vs. Actuals  SASFAA Budg" sheetId="1" r:id="rId1"/>
  </sheets>
  <calcPr calcId="125725"/>
</workbook>
</file>

<file path=xl/calcChain.xml><?xml version="1.0" encoding="utf-8"?>
<calcChain xmlns="http://schemas.openxmlformats.org/spreadsheetml/2006/main">
  <c r="B8" i="1"/>
  <c r="C8"/>
  <c r="D8" s="1"/>
  <c r="E8"/>
  <c r="B9"/>
  <c r="C9"/>
  <c r="D9" s="1"/>
  <c r="E9"/>
  <c r="B10"/>
  <c r="C10"/>
  <c r="D10" s="1"/>
  <c r="E10"/>
  <c r="B11"/>
  <c r="C11"/>
  <c r="D11" s="1"/>
  <c r="E11"/>
  <c r="B12"/>
  <c r="C12"/>
  <c r="D12" s="1"/>
  <c r="E12"/>
  <c r="B13"/>
  <c r="C13"/>
  <c r="D13" s="1"/>
  <c r="E13"/>
  <c r="B14"/>
  <c r="C14"/>
  <c r="D14" s="1"/>
  <c r="E14"/>
  <c r="B15"/>
  <c r="C15"/>
  <c r="D15" s="1"/>
  <c r="E15"/>
  <c r="B16"/>
  <c r="C16"/>
  <c r="D16" s="1"/>
  <c r="E16"/>
  <c r="B18"/>
  <c r="C18"/>
  <c r="D18" s="1"/>
  <c r="E18"/>
  <c r="B19"/>
  <c r="C19"/>
  <c r="D19" s="1"/>
  <c r="E19"/>
  <c r="B20"/>
  <c r="C20"/>
  <c r="D20" s="1"/>
  <c r="E20"/>
  <c r="B21"/>
  <c r="C21"/>
  <c r="D21" s="1"/>
  <c r="E21"/>
  <c r="B22"/>
  <c r="C22"/>
  <c r="D22" s="1"/>
  <c r="E22"/>
  <c r="B23"/>
  <c r="C23"/>
  <c r="D23" s="1"/>
  <c r="E23"/>
  <c r="B24"/>
  <c r="C24"/>
  <c r="D24" s="1"/>
  <c r="E24"/>
  <c r="B25"/>
  <c r="C25"/>
  <c r="D25" s="1"/>
  <c r="E25"/>
  <c r="B26"/>
  <c r="C26"/>
  <c r="D26" s="1"/>
  <c r="E26"/>
  <c r="B27"/>
  <c r="C27"/>
  <c r="D27" s="1"/>
  <c r="E27"/>
  <c r="B28"/>
  <c r="C28"/>
  <c r="D28" s="1"/>
  <c r="E28"/>
  <c r="B29"/>
  <c r="C29"/>
  <c r="D29" s="1"/>
  <c r="E29"/>
  <c r="B30"/>
  <c r="C30"/>
  <c r="D30" s="1"/>
  <c r="E30"/>
  <c r="C31"/>
  <c r="D31"/>
  <c r="E31"/>
  <c r="B32"/>
  <c r="E32" s="1"/>
  <c r="C32"/>
  <c r="D32"/>
  <c r="B33"/>
  <c r="E33" s="1"/>
  <c r="C33"/>
  <c r="D33"/>
  <c r="B34"/>
  <c r="E34" s="1"/>
  <c r="C34"/>
  <c r="D34"/>
  <c r="B35"/>
  <c r="E35" s="1"/>
  <c r="C35"/>
  <c r="D35"/>
  <c r="B36"/>
  <c r="E36" s="1"/>
  <c r="C36"/>
  <c r="D36"/>
  <c r="B37"/>
  <c r="E37" s="1"/>
  <c r="C37"/>
  <c r="D37"/>
  <c r="B38"/>
  <c r="E38" s="1"/>
  <c r="C38"/>
  <c r="D38"/>
  <c r="B39"/>
  <c r="E39" s="1"/>
  <c r="C39"/>
  <c r="D39"/>
  <c r="B40"/>
  <c r="E40" s="1"/>
  <c r="C40"/>
  <c r="D40"/>
  <c r="C41"/>
  <c r="D41" s="1"/>
  <c r="E41"/>
  <c r="B42"/>
  <c r="C42"/>
  <c r="D42" s="1"/>
  <c r="E42"/>
  <c r="B43"/>
  <c r="C43"/>
  <c r="E43" s="1"/>
  <c r="C44"/>
  <c r="C45"/>
  <c r="E45" s="1"/>
  <c r="C46"/>
  <c r="E46" s="1"/>
  <c r="B44" l="1"/>
  <c r="D43"/>
  <c r="D44" l="1"/>
  <c r="B45"/>
  <c r="E44"/>
  <c r="D45" l="1"/>
  <c r="B46"/>
  <c r="D46" s="1"/>
</calcChain>
</file>

<file path=xl/sharedStrings.xml><?xml version="1.0" encoding="utf-8"?>
<sst xmlns="http://schemas.openxmlformats.org/spreadsheetml/2006/main" count="49" uniqueCount="49">
  <si>
    <t>SASFAA, Inc.</t>
  </si>
  <si>
    <t xml:space="preserve">Budget vs. Actuals: SASFAA Budget - FY08 P&amp;L </t>
  </si>
  <si>
    <t>July 2007 - June 2008</t>
  </si>
  <si>
    <t>Total</t>
  </si>
  <si>
    <t>Actual</t>
  </si>
  <si>
    <t>Budget</t>
  </si>
  <si>
    <t>$ Over Budget</t>
  </si>
  <si>
    <t>% of Budget</t>
  </si>
  <si>
    <t>Income</t>
  </si>
  <si>
    <t xml:space="preserve">   01 Membership Dues</t>
  </si>
  <si>
    <t xml:space="preserve">   02 Professional Development</t>
  </si>
  <si>
    <t xml:space="preserve">   03 Annual Meeting</t>
  </si>
  <si>
    <t xml:space="preserve">   04 Vendors/Sponsors/Patrons</t>
  </si>
  <si>
    <t xml:space="preserve">   05 Advertising</t>
  </si>
  <si>
    <t xml:space="preserve">   07 Interest Earned</t>
  </si>
  <si>
    <t xml:space="preserve">   08 Miscellaneous Income</t>
  </si>
  <si>
    <t xml:space="preserve">   09 Balance Forward</t>
  </si>
  <si>
    <t>Total Income</t>
  </si>
  <si>
    <t>Expenses</t>
  </si>
  <si>
    <t xml:space="preserve">   101 President</t>
  </si>
  <si>
    <t xml:space="preserve">   102 President-Elect</t>
  </si>
  <si>
    <t xml:space="preserve">   103 Vice President</t>
  </si>
  <si>
    <t xml:space="preserve">   104 Secretary</t>
  </si>
  <si>
    <t xml:space="preserve">   105 Treasurer</t>
  </si>
  <si>
    <t xml:space="preserve">   106 Past President</t>
  </si>
  <si>
    <t xml:space="preserve">   201 Membership/Directory</t>
  </si>
  <si>
    <t xml:space="preserve">   202 Electronic Services</t>
  </si>
  <si>
    <t xml:space="preserve">   203 Professional Advancement</t>
  </si>
  <si>
    <t xml:space="preserve">   204 Newsletter</t>
  </si>
  <si>
    <t xml:space="preserve">   205 Budget and Finance</t>
  </si>
  <si>
    <t xml:space="preserve">   206 Annual Meeting Program</t>
  </si>
  <si>
    <t xml:space="preserve">   207 Site Selection</t>
  </si>
  <si>
    <t xml:space="preserve">   208 Nominations and Elections</t>
  </si>
  <si>
    <t xml:space="preserve">   210 Executive Board</t>
  </si>
  <si>
    <t xml:space="preserve">   211 President's Contingency</t>
  </si>
  <si>
    <t xml:space="preserve">   213 Advance Program Planning</t>
  </si>
  <si>
    <t xml:space="preserve">   214 Diversity Issues</t>
  </si>
  <si>
    <t xml:space="preserve">   215 Prior Administration Bills</t>
  </si>
  <si>
    <t xml:space="preserve">   216 Legislative Relations</t>
  </si>
  <si>
    <t xml:space="preserve">   217 Long Range Planning</t>
  </si>
  <si>
    <t xml:space="preserve">   218 Vendor/Sponsor/Patron</t>
  </si>
  <si>
    <t xml:space="preserve">   219 Special Projects</t>
  </si>
  <si>
    <t xml:space="preserve">   221 Computer Hardware/Software</t>
  </si>
  <si>
    <t xml:space="preserve">   224 Accounting Fees and Taxes</t>
  </si>
  <si>
    <t xml:space="preserve">   225 Online Payment Processing Fees</t>
  </si>
  <si>
    <t>Total Expenses</t>
  </si>
  <si>
    <t>Net Operating Income</t>
  </si>
  <si>
    <t>Net Income</t>
  </si>
  <si>
    <t>Monday, Jul 28, 2008 07:07:08 PM GMT-5 - Accrual Basis</t>
  </si>
</sst>
</file>

<file path=xl/styles.xml><?xml version="1.0" encoding="utf-8"?>
<styleSheet xmlns="http://schemas.openxmlformats.org/spreadsheetml/2006/main">
  <numFmts count="1">
    <numFmt numFmtId="168" formatCode="&quot;$&quot;* #,##0.00"/>
  </numFmts>
  <fonts count="6">
    <font>
      <sz val="10"/>
      <name val="Arial"/>
    </font>
    <font>
      <b/>
      <sz val="10"/>
      <name val="Arial"/>
    </font>
    <font>
      <b/>
      <sz val="9"/>
      <name val="Arial"/>
    </font>
    <font>
      <b/>
      <sz val="8"/>
      <name val="Arial"/>
    </font>
    <font>
      <sz val="8"/>
      <name val="Arial"/>
    </font>
    <font>
      <b/>
      <sz val="14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Font="1" applyFill="1" applyAlignment="1"/>
    <xf numFmtId="4" fontId="4" fillId="0" borderId="0" xfId="0" applyNumberFormat="1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left"/>
    </xf>
    <xf numFmtId="10" fontId="3" fillId="0" borderId="2" xfId="0" applyNumberFormat="1" applyFont="1" applyFill="1" applyBorder="1" applyAlignment="1">
      <alignment horizontal="right"/>
    </xf>
    <xf numFmtId="168" fontId="3" fillId="0" borderId="3" xfId="0" applyNumberFormat="1" applyFont="1" applyFill="1" applyBorder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68" fontId="3" fillId="0" borderId="2" xfId="0" applyNumberFormat="1" applyFont="1" applyFill="1" applyBorder="1" applyAlignment="1">
      <alignment horizontal="right"/>
    </xf>
    <xf numFmtId="10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25" workbookViewId="0">
      <selection activeCell="C48" sqref="C48"/>
    </sheetView>
  </sheetViews>
  <sheetFormatPr defaultColWidth="9.109375" defaultRowHeight="13.2"/>
  <cols>
    <col min="1" max="1" width="31.33203125" customWidth="1"/>
    <col min="2" max="5" width="13" customWidth="1"/>
  </cols>
  <sheetData>
    <row r="1" spans="1:5" ht="17.399999999999999">
      <c r="A1" s="4" t="s">
        <v>0</v>
      </c>
      <c r="B1" s="4"/>
      <c r="C1" s="4"/>
      <c r="D1" s="4"/>
      <c r="E1" s="4"/>
    </row>
    <row r="2" spans="1:5" ht="17.399999999999999">
      <c r="A2" s="4" t="s">
        <v>1</v>
      </c>
      <c r="B2" s="4"/>
      <c r="C2" s="4"/>
      <c r="D2" s="4"/>
      <c r="E2" s="4"/>
    </row>
    <row r="3" spans="1:5">
      <c r="A3" s="5" t="s">
        <v>2</v>
      </c>
      <c r="B3" s="5"/>
      <c r="C3" s="5"/>
      <c r="D3" s="5"/>
      <c r="E3" s="5"/>
    </row>
    <row r="5" spans="1:5">
      <c r="A5" s="1"/>
      <c r="B5" s="15" t="s">
        <v>3</v>
      </c>
      <c r="C5" s="15"/>
      <c r="D5" s="15"/>
      <c r="E5" s="15"/>
    </row>
    <row r="6" spans="1:5">
      <c r="A6" s="16"/>
      <c r="B6" s="17" t="s">
        <v>4</v>
      </c>
      <c r="C6" s="17" t="s">
        <v>5</v>
      </c>
      <c r="D6" s="17" t="s">
        <v>6</v>
      </c>
      <c r="E6" s="17" t="s">
        <v>7</v>
      </c>
    </row>
    <row r="7" spans="1:5">
      <c r="A7" s="14" t="s">
        <v>8</v>
      </c>
      <c r="B7" s="2"/>
      <c r="C7" s="2"/>
      <c r="D7" s="2"/>
      <c r="E7" s="2"/>
    </row>
    <row r="8" spans="1:5">
      <c r="A8" s="13" t="s">
        <v>9</v>
      </c>
      <c r="B8" s="12">
        <f>38510</f>
        <v>38510</v>
      </c>
      <c r="C8" s="12">
        <f>36000</f>
        <v>36000</v>
      </c>
      <c r="D8" s="12">
        <f t="shared" ref="D8:D16" si="0">(B8)-C8</f>
        <v>2510</v>
      </c>
      <c r="E8" s="11">
        <f t="shared" ref="E8:E16" si="1">IF(C8=0,"",(B8)/C8)</f>
        <v>1.0697222222222222</v>
      </c>
    </row>
    <row r="9" spans="1:5">
      <c r="A9" s="6" t="s">
        <v>10</v>
      </c>
      <c r="B9" s="12">
        <f>77569</f>
        <v>77569</v>
      </c>
      <c r="C9" s="12">
        <f>125000</f>
        <v>125000</v>
      </c>
      <c r="D9" s="12">
        <f t="shared" si="0"/>
        <v>-47431</v>
      </c>
      <c r="E9" s="11">
        <f t="shared" si="1"/>
        <v>0.62055199999999999</v>
      </c>
    </row>
    <row r="10" spans="1:5">
      <c r="A10" s="6" t="s">
        <v>11</v>
      </c>
      <c r="B10" s="12">
        <f>132015</f>
        <v>132015</v>
      </c>
      <c r="C10" s="12">
        <f>170000</f>
        <v>170000</v>
      </c>
      <c r="D10" s="12">
        <f t="shared" si="0"/>
        <v>-37985</v>
      </c>
      <c r="E10" s="11">
        <f t="shared" si="1"/>
        <v>0.77655882352941175</v>
      </c>
    </row>
    <row r="11" spans="1:5">
      <c r="A11" s="6" t="s">
        <v>12</v>
      </c>
      <c r="B11" s="12">
        <f>131110</f>
        <v>131110</v>
      </c>
      <c r="C11" s="12">
        <f>125000</f>
        <v>125000</v>
      </c>
      <c r="D11" s="12">
        <f t="shared" si="0"/>
        <v>6110</v>
      </c>
      <c r="E11" s="11">
        <f t="shared" si="1"/>
        <v>1.04888</v>
      </c>
    </row>
    <row r="12" spans="1:5">
      <c r="A12" s="6" t="s">
        <v>13</v>
      </c>
      <c r="B12" s="12">
        <f>30380</f>
        <v>30380</v>
      </c>
      <c r="C12" s="12">
        <f>40000</f>
        <v>40000</v>
      </c>
      <c r="D12" s="12">
        <f t="shared" si="0"/>
        <v>-9620</v>
      </c>
      <c r="E12" s="11">
        <f t="shared" si="1"/>
        <v>0.75949999999999995</v>
      </c>
    </row>
    <row r="13" spans="1:5">
      <c r="A13" s="6" t="s">
        <v>14</v>
      </c>
      <c r="B13" s="12">
        <f>30190.52</f>
        <v>30190.52</v>
      </c>
      <c r="C13" s="12">
        <f>20000</f>
        <v>20000</v>
      </c>
      <c r="D13" s="12">
        <f t="shared" si="0"/>
        <v>10190.52</v>
      </c>
      <c r="E13" s="11">
        <f t="shared" si="1"/>
        <v>1.5095259999999999</v>
      </c>
    </row>
    <row r="14" spans="1:5">
      <c r="A14" s="6" t="s">
        <v>15</v>
      </c>
      <c r="B14" s="12">
        <f>3480.07</f>
        <v>3480.07</v>
      </c>
      <c r="C14" s="12">
        <f>1000</f>
        <v>1000</v>
      </c>
      <c r="D14" s="12">
        <f t="shared" si="0"/>
        <v>2480.0700000000002</v>
      </c>
      <c r="E14" s="11">
        <f t="shared" si="1"/>
        <v>3.48007</v>
      </c>
    </row>
    <row r="15" spans="1:5">
      <c r="A15" s="6" t="s">
        <v>16</v>
      </c>
      <c r="B15" s="12">
        <f>86852.19</f>
        <v>86852.19</v>
      </c>
      <c r="C15" s="12">
        <f>126500</f>
        <v>126500</v>
      </c>
      <c r="D15" s="12">
        <f t="shared" si="0"/>
        <v>-39647.81</v>
      </c>
      <c r="E15" s="11">
        <f t="shared" si="1"/>
        <v>0.68657857707509884</v>
      </c>
    </row>
    <row r="16" spans="1:5">
      <c r="A16" s="6" t="s">
        <v>17</v>
      </c>
      <c r="B16" s="10">
        <f>(((((((B8)+B9)+B10)+B11)+B12)+B13)+B14)+B15</f>
        <v>530106.78</v>
      </c>
      <c r="C16" s="10">
        <f>(((((((C8)+C9)+C10)+C11)+C12)+C13)+C14)+C15</f>
        <v>643500</v>
      </c>
      <c r="D16" s="10">
        <f t="shared" si="0"/>
        <v>-113393.21999999997</v>
      </c>
      <c r="E16" s="7">
        <f t="shared" si="1"/>
        <v>0.82378675990675998</v>
      </c>
    </row>
    <row r="17" spans="1:5">
      <c r="A17" s="6" t="s">
        <v>18</v>
      </c>
      <c r="B17" s="2"/>
      <c r="C17" s="2"/>
      <c r="D17" s="2"/>
      <c r="E17" s="2"/>
    </row>
    <row r="18" spans="1:5">
      <c r="A18" s="13" t="s">
        <v>19</v>
      </c>
      <c r="B18" s="12">
        <f>9498.09</f>
        <v>9498.09</v>
      </c>
      <c r="C18" s="12">
        <f>9000</f>
        <v>9000</v>
      </c>
      <c r="D18" s="12">
        <f t="shared" ref="D18:D46" si="2">(B18)-C18</f>
        <v>498.09000000000015</v>
      </c>
      <c r="E18" s="11">
        <f t="shared" ref="E18:E46" si="3">IF(C18=0,"",(B18)/C18)</f>
        <v>1.0553433333333333</v>
      </c>
    </row>
    <row r="19" spans="1:5">
      <c r="A19" s="6" t="s">
        <v>20</v>
      </c>
      <c r="B19" s="12">
        <f>10474.96</f>
        <v>10474.959999999999</v>
      </c>
      <c r="C19" s="12">
        <f>8850</f>
        <v>8850</v>
      </c>
      <c r="D19" s="12">
        <f t="shared" si="2"/>
        <v>1624.9599999999991</v>
      </c>
      <c r="E19" s="11">
        <f t="shared" si="3"/>
        <v>1.1836112994350281</v>
      </c>
    </row>
    <row r="20" spans="1:5">
      <c r="A20" s="6" t="s">
        <v>21</v>
      </c>
      <c r="B20" s="12">
        <f>2860.76</f>
        <v>2860.76</v>
      </c>
      <c r="C20" s="12">
        <f>4500</f>
        <v>4500</v>
      </c>
      <c r="D20" s="12">
        <f t="shared" si="2"/>
        <v>-1639.2399999999998</v>
      </c>
      <c r="E20" s="11">
        <f t="shared" si="3"/>
        <v>0.63572444444444454</v>
      </c>
    </row>
    <row r="21" spans="1:5">
      <c r="A21" s="6" t="s">
        <v>22</v>
      </c>
      <c r="B21" s="12">
        <f>4029.53</f>
        <v>4029.53</v>
      </c>
      <c r="C21" s="12">
        <f>4500</f>
        <v>4500</v>
      </c>
      <c r="D21" s="12">
        <f t="shared" si="2"/>
        <v>-470.4699999999998</v>
      </c>
      <c r="E21" s="11">
        <f t="shared" si="3"/>
        <v>0.8954511111111112</v>
      </c>
    </row>
    <row r="22" spans="1:5">
      <c r="A22" s="6" t="s">
        <v>23</v>
      </c>
      <c r="B22" s="12">
        <f>2784.85</f>
        <v>2784.85</v>
      </c>
      <c r="C22" s="12">
        <f>3700</f>
        <v>3700</v>
      </c>
      <c r="D22" s="12">
        <f t="shared" si="2"/>
        <v>-915.15000000000009</v>
      </c>
      <c r="E22" s="11">
        <f t="shared" si="3"/>
        <v>0.75266216216216209</v>
      </c>
    </row>
    <row r="23" spans="1:5">
      <c r="A23" s="6" t="s">
        <v>24</v>
      </c>
      <c r="B23" s="12">
        <f>7306.88</f>
        <v>7306.88</v>
      </c>
      <c r="C23" s="12">
        <f>7675</f>
        <v>7675</v>
      </c>
      <c r="D23" s="12">
        <f t="shared" si="2"/>
        <v>-368.11999999999989</v>
      </c>
      <c r="E23" s="11">
        <f t="shared" si="3"/>
        <v>0.95203648208469061</v>
      </c>
    </row>
    <row r="24" spans="1:5">
      <c r="A24" s="6" t="s">
        <v>25</v>
      </c>
      <c r="B24" s="12">
        <f>5664.42</f>
        <v>5664.42</v>
      </c>
      <c r="C24" s="12">
        <f>6000</f>
        <v>6000</v>
      </c>
      <c r="D24" s="12">
        <f t="shared" si="2"/>
        <v>-335.57999999999993</v>
      </c>
      <c r="E24" s="11">
        <f t="shared" si="3"/>
        <v>0.94406999999999996</v>
      </c>
    </row>
    <row r="25" spans="1:5">
      <c r="A25" s="6" t="s">
        <v>26</v>
      </c>
      <c r="B25" s="12">
        <f>12202.53</f>
        <v>12202.53</v>
      </c>
      <c r="C25" s="12">
        <f>12400</f>
        <v>12400</v>
      </c>
      <c r="D25" s="12">
        <f t="shared" si="2"/>
        <v>-197.46999999999935</v>
      </c>
      <c r="E25" s="11">
        <f t="shared" si="3"/>
        <v>0.98407500000000003</v>
      </c>
    </row>
    <row r="26" spans="1:5">
      <c r="A26" s="6" t="s">
        <v>27</v>
      </c>
      <c r="B26" s="12">
        <f>97703.66</f>
        <v>97703.66</v>
      </c>
      <c r="C26" s="12">
        <f>150000</f>
        <v>150000</v>
      </c>
      <c r="D26" s="12">
        <f t="shared" si="2"/>
        <v>-52296.34</v>
      </c>
      <c r="E26" s="11">
        <f t="shared" si="3"/>
        <v>0.65135773333333336</v>
      </c>
    </row>
    <row r="27" spans="1:5">
      <c r="A27" s="6" t="s">
        <v>28</v>
      </c>
      <c r="B27" s="12">
        <f>2904.74</f>
        <v>2904.74</v>
      </c>
      <c r="C27" s="12">
        <f>3675</f>
        <v>3675</v>
      </c>
      <c r="D27" s="12">
        <f t="shared" si="2"/>
        <v>-770.26000000000022</v>
      </c>
      <c r="E27" s="11">
        <f t="shared" si="3"/>
        <v>0.7904054421768707</v>
      </c>
    </row>
    <row r="28" spans="1:5">
      <c r="A28" s="6" t="s">
        <v>29</v>
      </c>
      <c r="B28" s="12">
        <f>6525.06</f>
        <v>6525.06</v>
      </c>
      <c r="C28" s="12">
        <f>6250</f>
        <v>6250</v>
      </c>
      <c r="D28" s="12">
        <f t="shared" si="2"/>
        <v>275.0600000000004</v>
      </c>
      <c r="E28" s="11">
        <f t="shared" si="3"/>
        <v>1.0440096000000001</v>
      </c>
    </row>
    <row r="29" spans="1:5">
      <c r="A29" s="6" t="s">
        <v>30</v>
      </c>
      <c r="B29" s="12">
        <f>279902.29</f>
        <v>279902.28999999998</v>
      </c>
      <c r="C29" s="12">
        <f>300000</f>
        <v>300000</v>
      </c>
      <c r="D29" s="12">
        <f t="shared" si="2"/>
        <v>-20097.710000000021</v>
      </c>
      <c r="E29" s="11">
        <f t="shared" si="3"/>
        <v>0.93300763333333325</v>
      </c>
    </row>
    <row r="30" spans="1:5">
      <c r="A30" s="6" t="s">
        <v>31</v>
      </c>
      <c r="B30" s="12">
        <f>1137.04</f>
        <v>1137.04</v>
      </c>
      <c r="C30" s="12">
        <f>1600</f>
        <v>1600</v>
      </c>
      <c r="D30" s="12">
        <f t="shared" si="2"/>
        <v>-462.96000000000004</v>
      </c>
      <c r="E30" s="11">
        <f t="shared" si="3"/>
        <v>0.71065</v>
      </c>
    </row>
    <row r="31" spans="1:5">
      <c r="A31" s="6" t="s">
        <v>32</v>
      </c>
      <c r="B31" s="2"/>
      <c r="C31" s="12">
        <f>5550</f>
        <v>5550</v>
      </c>
      <c r="D31" s="12">
        <f t="shared" si="2"/>
        <v>-5550</v>
      </c>
      <c r="E31" s="11">
        <f t="shared" si="3"/>
        <v>0</v>
      </c>
    </row>
    <row r="32" spans="1:5">
      <c r="A32" s="6" t="s">
        <v>33</v>
      </c>
      <c r="B32" s="12">
        <f>46323.92</f>
        <v>46323.92</v>
      </c>
      <c r="C32" s="12">
        <f>47500</f>
        <v>47500</v>
      </c>
      <c r="D32" s="12">
        <f t="shared" si="2"/>
        <v>-1176.0800000000017</v>
      </c>
      <c r="E32" s="11">
        <f t="shared" si="3"/>
        <v>0.97524042105263153</v>
      </c>
    </row>
    <row r="33" spans="1:5">
      <c r="A33" s="6" t="s">
        <v>34</v>
      </c>
      <c r="B33" s="12">
        <f>2500.46</f>
        <v>2500.46</v>
      </c>
      <c r="C33" s="12">
        <f>2000</f>
        <v>2000</v>
      </c>
      <c r="D33" s="12">
        <f t="shared" si="2"/>
        <v>500.46000000000004</v>
      </c>
      <c r="E33" s="11">
        <f t="shared" si="3"/>
        <v>1.25023</v>
      </c>
    </row>
    <row r="34" spans="1:5">
      <c r="A34" s="6" t="s">
        <v>35</v>
      </c>
      <c r="B34" s="12">
        <f>3817.55</f>
        <v>3817.55</v>
      </c>
      <c r="C34" s="12">
        <f>5750</f>
        <v>5750</v>
      </c>
      <c r="D34" s="12">
        <f t="shared" si="2"/>
        <v>-1932.4499999999998</v>
      </c>
      <c r="E34" s="11">
        <f t="shared" si="3"/>
        <v>0.66392173913043484</v>
      </c>
    </row>
    <row r="35" spans="1:5">
      <c r="A35" s="6" t="s">
        <v>36</v>
      </c>
      <c r="B35" s="12">
        <f>1824.44</f>
        <v>1824.44</v>
      </c>
      <c r="C35" s="12">
        <f>2000</f>
        <v>2000</v>
      </c>
      <c r="D35" s="12">
        <f t="shared" si="2"/>
        <v>-175.55999999999995</v>
      </c>
      <c r="E35" s="11">
        <f t="shared" si="3"/>
        <v>0.91222000000000003</v>
      </c>
    </row>
    <row r="36" spans="1:5">
      <c r="A36" s="6" t="s">
        <v>37</v>
      </c>
      <c r="B36" s="12">
        <f>754</f>
        <v>754</v>
      </c>
      <c r="C36" s="12">
        <f>1000</f>
        <v>1000</v>
      </c>
      <c r="D36" s="12">
        <f t="shared" si="2"/>
        <v>-246</v>
      </c>
      <c r="E36" s="11">
        <f t="shared" si="3"/>
        <v>0.754</v>
      </c>
    </row>
    <row r="37" spans="1:5">
      <c r="A37" s="6" t="s">
        <v>38</v>
      </c>
      <c r="B37" s="12">
        <f>2777.43</f>
        <v>2777.43</v>
      </c>
      <c r="C37" s="12">
        <f>6000</f>
        <v>6000</v>
      </c>
      <c r="D37" s="12">
        <f t="shared" si="2"/>
        <v>-3222.57</v>
      </c>
      <c r="E37" s="11">
        <f t="shared" si="3"/>
        <v>0.46290499999999996</v>
      </c>
    </row>
    <row r="38" spans="1:5">
      <c r="A38" s="6" t="s">
        <v>39</v>
      </c>
      <c r="B38" s="12">
        <f>1982.64</f>
        <v>1982.64</v>
      </c>
      <c r="C38" s="12">
        <f>3900</f>
        <v>3900</v>
      </c>
      <c r="D38" s="12">
        <f t="shared" si="2"/>
        <v>-1917.36</v>
      </c>
      <c r="E38" s="11">
        <f t="shared" si="3"/>
        <v>0.5083692307692308</v>
      </c>
    </row>
    <row r="39" spans="1:5">
      <c r="A39" s="6" t="s">
        <v>40</v>
      </c>
      <c r="B39" s="12">
        <f>3929.15</f>
        <v>3929.15</v>
      </c>
      <c r="C39" s="12">
        <f>4500</f>
        <v>4500</v>
      </c>
      <c r="D39" s="12">
        <f t="shared" si="2"/>
        <v>-570.84999999999991</v>
      </c>
      <c r="E39" s="11">
        <f t="shared" si="3"/>
        <v>0.8731444444444445</v>
      </c>
    </row>
    <row r="40" spans="1:5">
      <c r="A40" s="6" t="s">
        <v>41</v>
      </c>
      <c r="B40" s="12">
        <f>13619.7</f>
        <v>13619.7</v>
      </c>
      <c r="C40" s="12">
        <f>34900</f>
        <v>34900</v>
      </c>
      <c r="D40" s="12">
        <f t="shared" si="2"/>
        <v>-21280.3</v>
      </c>
      <c r="E40" s="11">
        <f t="shared" si="3"/>
        <v>0.39024928366762179</v>
      </c>
    </row>
    <row r="41" spans="1:5">
      <c r="A41" s="6" t="s">
        <v>42</v>
      </c>
      <c r="B41" s="2"/>
      <c r="C41" s="12">
        <f>2500</f>
        <v>2500</v>
      </c>
      <c r="D41" s="12">
        <f t="shared" si="2"/>
        <v>-2500</v>
      </c>
      <c r="E41" s="11">
        <f t="shared" si="3"/>
        <v>0</v>
      </c>
    </row>
    <row r="42" spans="1:5">
      <c r="A42" s="6" t="s">
        <v>43</v>
      </c>
      <c r="B42" s="12">
        <f>7175.67</f>
        <v>7175.67</v>
      </c>
      <c r="C42" s="12">
        <f>7250</f>
        <v>7250</v>
      </c>
      <c r="D42" s="12">
        <f t="shared" si="2"/>
        <v>-74.329999999999927</v>
      </c>
      <c r="E42" s="11">
        <f t="shared" si="3"/>
        <v>0.98974758620689651</v>
      </c>
    </row>
    <row r="43" spans="1:5">
      <c r="A43" s="6" t="s">
        <v>44</v>
      </c>
      <c r="B43" s="12">
        <f>2407.01</f>
        <v>2407.0100000000002</v>
      </c>
      <c r="C43" s="12">
        <f>2500</f>
        <v>2500</v>
      </c>
      <c r="D43" s="12">
        <f t="shared" si="2"/>
        <v>-92.989999999999782</v>
      </c>
      <c r="E43" s="11">
        <f t="shared" si="3"/>
        <v>0.9628040000000001</v>
      </c>
    </row>
    <row r="44" spans="1:5">
      <c r="A44" s="6" t="s">
        <v>45</v>
      </c>
      <c r="B44" s="10">
        <f>(((((((((((((((((((((((((B18)+B19)+B20)+B21)+B22)+B23)+B24)+B25)+B26)+B27)+B28)+B29)+B30)+B31)+B32)+B33)+B34)+B35)+B36)+B37)+B38)+B39)+B40)+B41)+B42)+B43</f>
        <v>530106.78</v>
      </c>
      <c r="C44" s="10">
        <f>(((((((((((((((((((((((((C18)+C19)+C20)+C21)+C22)+C23)+C24)+C25)+C26)+C27)+C28)+C29)+C30)+C31)+C32)+C33)+C34)+C35)+C36)+C37)+C38)+C39)+C40)+C41)+C42)+C43</f>
        <v>643500</v>
      </c>
      <c r="D44" s="10">
        <f t="shared" si="2"/>
        <v>-113393.21999999997</v>
      </c>
      <c r="E44" s="7">
        <f t="shared" si="3"/>
        <v>0.82378675990675998</v>
      </c>
    </row>
    <row r="45" spans="1:5">
      <c r="A45" s="6" t="s">
        <v>46</v>
      </c>
      <c r="B45" s="10">
        <f>(B16)-B44</f>
        <v>0</v>
      </c>
      <c r="C45" s="10">
        <f>(C16)-C44</f>
        <v>0</v>
      </c>
      <c r="D45" s="10">
        <f t="shared" si="2"/>
        <v>0</v>
      </c>
      <c r="E45" s="7" t="str">
        <f t="shared" si="3"/>
        <v/>
      </c>
    </row>
    <row r="46" spans="1:5">
      <c r="A46" s="6" t="s">
        <v>47</v>
      </c>
      <c r="B46" s="8">
        <f>(B45)+0</f>
        <v>0</v>
      </c>
      <c r="C46" s="8">
        <f>(C45)+0</f>
        <v>0</v>
      </c>
      <c r="D46" s="8">
        <f t="shared" si="2"/>
        <v>0</v>
      </c>
      <c r="E46" s="9" t="str">
        <f t="shared" si="3"/>
        <v/>
      </c>
    </row>
    <row r="47" spans="1:5">
      <c r="A47" s="6"/>
      <c r="B47" s="2"/>
      <c r="C47" s="2"/>
      <c r="D47" s="2"/>
      <c r="E47" s="2"/>
    </row>
    <row r="50" spans="1:5">
      <c r="A50" s="3" t="s">
        <v>48</v>
      </c>
      <c r="B50" s="3"/>
      <c r="C50" s="3"/>
      <c r="D50" s="3"/>
      <c r="E50" s="3"/>
    </row>
  </sheetData>
  <mergeCells count="215">
    <mergeCell ref="B5:E5"/>
    <mergeCell ref="A6"/>
    <mergeCell ref="B6"/>
    <mergeCell ref="C6"/>
    <mergeCell ref="D6"/>
    <mergeCell ref="E6"/>
    <mergeCell ref="E7"/>
    <mergeCell ref="A8"/>
    <mergeCell ref="B8"/>
    <mergeCell ref="C8"/>
    <mergeCell ref="D8"/>
    <mergeCell ref="E8"/>
    <mergeCell ref="A7"/>
    <mergeCell ref="B7"/>
    <mergeCell ref="C7"/>
    <mergeCell ref="D7"/>
    <mergeCell ref="E9"/>
    <mergeCell ref="A10"/>
    <mergeCell ref="B10"/>
    <mergeCell ref="C10"/>
    <mergeCell ref="D10"/>
    <mergeCell ref="E10"/>
    <mergeCell ref="A9"/>
    <mergeCell ref="B9"/>
    <mergeCell ref="C9"/>
    <mergeCell ref="D9"/>
    <mergeCell ref="E11"/>
    <mergeCell ref="A12"/>
    <mergeCell ref="B12"/>
    <mergeCell ref="C12"/>
    <mergeCell ref="D12"/>
    <mergeCell ref="E12"/>
    <mergeCell ref="A11"/>
    <mergeCell ref="B11"/>
    <mergeCell ref="C11"/>
    <mergeCell ref="D11"/>
    <mergeCell ref="E13"/>
    <mergeCell ref="A14"/>
    <mergeCell ref="B14"/>
    <mergeCell ref="C14"/>
    <mergeCell ref="D14"/>
    <mergeCell ref="E14"/>
    <mergeCell ref="A13"/>
    <mergeCell ref="B13"/>
    <mergeCell ref="C13"/>
    <mergeCell ref="D13"/>
    <mergeCell ref="E15"/>
    <mergeCell ref="A16"/>
    <mergeCell ref="B16"/>
    <mergeCell ref="C16"/>
    <mergeCell ref="D16"/>
    <mergeCell ref="E16"/>
    <mergeCell ref="A15"/>
    <mergeCell ref="B15"/>
    <mergeCell ref="C15"/>
    <mergeCell ref="D15"/>
    <mergeCell ref="E17"/>
    <mergeCell ref="A18"/>
    <mergeCell ref="B18"/>
    <mergeCell ref="C18"/>
    <mergeCell ref="D18"/>
    <mergeCell ref="E18"/>
    <mergeCell ref="A17"/>
    <mergeCell ref="B17"/>
    <mergeCell ref="C17"/>
    <mergeCell ref="D17"/>
    <mergeCell ref="E19"/>
    <mergeCell ref="A20"/>
    <mergeCell ref="B20"/>
    <mergeCell ref="C20"/>
    <mergeCell ref="D20"/>
    <mergeCell ref="E20"/>
    <mergeCell ref="A19"/>
    <mergeCell ref="B19"/>
    <mergeCell ref="C19"/>
    <mergeCell ref="D19"/>
    <mergeCell ref="E21"/>
    <mergeCell ref="A22"/>
    <mergeCell ref="B22"/>
    <mergeCell ref="C22"/>
    <mergeCell ref="D22"/>
    <mergeCell ref="E22"/>
    <mergeCell ref="A21"/>
    <mergeCell ref="B21"/>
    <mergeCell ref="C21"/>
    <mergeCell ref="D21"/>
    <mergeCell ref="E23"/>
    <mergeCell ref="A24"/>
    <mergeCell ref="B24"/>
    <mergeCell ref="C24"/>
    <mergeCell ref="D24"/>
    <mergeCell ref="E24"/>
    <mergeCell ref="A23"/>
    <mergeCell ref="B23"/>
    <mergeCell ref="C23"/>
    <mergeCell ref="D23"/>
    <mergeCell ref="E25"/>
    <mergeCell ref="A26"/>
    <mergeCell ref="B26"/>
    <mergeCell ref="C26"/>
    <mergeCell ref="D26"/>
    <mergeCell ref="E26"/>
    <mergeCell ref="A25"/>
    <mergeCell ref="B25"/>
    <mergeCell ref="C25"/>
    <mergeCell ref="D25"/>
    <mergeCell ref="E27"/>
    <mergeCell ref="A28"/>
    <mergeCell ref="B28"/>
    <mergeCell ref="C28"/>
    <mergeCell ref="D28"/>
    <mergeCell ref="E28"/>
    <mergeCell ref="A27"/>
    <mergeCell ref="B27"/>
    <mergeCell ref="C27"/>
    <mergeCell ref="D27"/>
    <mergeCell ref="E29"/>
    <mergeCell ref="A30"/>
    <mergeCell ref="B30"/>
    <mergeCell ref="C30"/>
    <mergeCell ref="D30"/>
    <mergeCell ref="E30"/>
    <mergeCell ref="A29"/>
    <mergeCell ref="B29"/>
    <mergeCell ref="C29"/>
    <mergeCell ref="D29"/>
    <mergeCell ref="E31"/>
    <mergeCell ref="A32"/>
    <mergeCell ref="B32"/>
    <mergeCell ref="C32"/>
    <mergeCell ref="D32"/>
    <mergeCell ref="E32"/>
    <mergeCell ref="A31"/>
    <mergeCell ref="B31"/>
    <mergeCell ref="C31"/>
    <mergeCell ref="D31"/>
    <mergeCell ref="E33"/>
    <mergeCell ref="A34"/>
    <mergeCell ref="B34"/>
    <mergeCell ref="C34"/>
    <mergeCell ref="D34"/>
    <mergeCell ref="E34"/>
    <mergeCell ref="A33"/>
    <mergeCell ref="B33"/>
    <mergeCell ref="C33"/>
    <mergeCell ref="D33"/>
    <mergeCell ref="E35"/>
    <mergeCell ref="A36"/>
    <mergeCell ref="B36"/>
    <mergeCell ref="C36"/>
    <mergeCell ref="D36"/>
    <mergeCell ref="E36"/>
    <mergeCell ref="A35"/>
    <mergeCell ref="B35"/>
    <mergeCell ref="C35"/>
    <mergeCell ref="D35"/>
    <mergeCell ref="E37"/>
    <mergeCell ref="A38"/>
    <mergeCell ref="B38"/>
    <mergeCell ref="C38"/>
    <mergeCell ref="D38"/>
    <mergeCell ref="E38"/>
    <mergeCell ref="A37"/>
    <mergeCell ref="B37"/>
    <mergeCell ref="C37"/>
    <mergeCell ref="D37"/>
    <mergeCell ref="E39"/>
    <mergeCell ref="A40"/>
    <mergeCell ref="B40"/>
    <mergeCell ref="C40"/>
    <mergeCell ref="D40"/>
    <mergeCell ref="E40"/>
    <mergeCell ref="A39"/>
    <mergeCell ref="B39"/>
    <mergeCell ref="C39"/>
    <mergeCell ref="D39"/>
    <mergeCell ref="E41"/>
    <mergeCell ref="A42"/>
    <mergeCell ref="B42"/>
    <mergeCell ref="C42"/>
    <mergeCell ref="D42"/>
    <mergeCell ref="E42"/>
    <mergeCell ref="A41"/>
    <mergeCell ref="B41"/>
    <mergeCell ref="C41"/>
    <mergeCell ref="D41"/>
    <mergeCell ref="E43"/>
    <mergeCell ref="A44"/>
    <mergeCell ref="B44"/>
    <mergeCell ref="C44"/>
    <mergeCell ref="D44"/>
    <mergeCell ref="E44"/>
    <mergeCell ref="A43"/>
    <mergeCell ref="B43"/>
    <mergeCell ref="C43"/>
    <mergeCell ref="D43"/>
    <mergeCell ref="A46"/>
    <mergeCell ref="B46"/>
    <mergeCell ref="C46"/>
    <mergeCell ref="D46"/>
    <mergeCell ref="E46"/>
    <mergeCell ref="A45"/>
    <mergeCell ref="B45"/>
    <mergeCell ref="C45"/>
    <mergeCell ref="D45"/>
    <mergeCell ref="E47"/>
    <mergeCell ref="A50:E50"/>
    <mergeCell ref="A1:E1"/>
    <mergeCell ref="A2:E2"/>
    <mergeCell ref="A3:E3"/>
    <mergeCell ref="A47"/>
    <mergeCell ref="B47"/>
    <mergeCell ref="C47"/>
    <mergeCell ref="D47"/>
    <mergeCell ref="E45"/>
  </mergeCells>
  <phoneticPr fontId="4" type="noConversion"/>
  <printOptions gridLines="1"/>
  <pageMargins left="0.75" right="0.62" top="0.77" bottom="0.69" header="0.5" footer="0.5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Actuals  SASFAA Budg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Moore</dc:creator>
  <cp:lastModifiedBy>user</cp:lastModifiedBy>
  <cp:lastPrinted>2008-07-29T00:11:45Z</cp:lastPrinted>
  <dcterms:created xsi:type="dcterms:W3CDTF">2008-07-29T00:17:38Z</dcterms:created>
  <dcterms:modified xsi:type="dcterms:W3CDTF">2012-06-20T19:47:31Z</dcterms:modified>
</cp:coreProperties>
</file>